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7575" activeTab="0"/>
  </bookViews>
  <sheets>
    <sheet name="Mass" sheetId="1" r:id="rId1"/>
    <sheet name="Length" sheetId="2" r:id="rId2"/>
    <sheet name="Time" sheetId="3" r:id="rId3"/>
    <sheet name="Area" sheetId="4" r:id="rId4"/>
    <sheet name="Volume" sheetId="5" r:id="rId5"/>
    <sheet name="Flow Rate" sheetId="6" r:id="rId6"/>
    <sheet name="Density" sheetId="7" r:id="rId7"/>
    <sheet name="Pressure" sheetId="8" r:id="rId8"/>
    <sheet name="Viscosity" sheetId="9" r:id="rId9"/>
    <sheet name="Work or Torque" sheetId="10" r:id="rId10"/>
    <sheet name="Power" sheetId="11" r:id="rId11"/>
    <sheet name="Permeability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<sst xmlns="http://schemas.openxmlformats.org/spreadsheetml/2006/main" count="183" uniqueCount="78">
  <si>
    <t>gm</t>
  </si>
  <si>
    <t>kg</t>
  </si>
  <si>
    <t>oz (adv)</t>
  </si>
  <si>
    <t>Lbm (adv)</t>
  </si>
  <si>
    <t>ton (short)</t>
  </si>
  <si>
    <t>ton (metric)</t>
  </si>
  <si>
    <t>adv = advoirdupois</t>
  </si>
  <si>
    <t>cm</t>
  </si>
  <si>
    <t>m</t>
  </si>
  <si>
    <t>km</t>
  </si>
  <si>
    <t>in</t>
  </si>
  <si>
    <t>ft</t>
  </si>
  <si>
    <t>mile</t>
  </si>
  <si>
    <t>yard</t>
  </si>
  <si>
    <t>sec</t>
  </si>
  <si>
    <t>min</t>
  </si>
  <si>
    <t>hrs</t>
  </si>
  <si>
    <t>days</t>
  </si>
  <si>
    <t>weeks</t>
  </si>
  <si>
    <t>months</t>
  </si>
  <si>
    <t>years</t>
  </si>
  <si>
    <t>cm²</t>
  </si>
  <si>
    <t>m²</t>
  </si>
  <si>
    <t>km²</t>
  </si>
  <si>
    <t>in²</t>
  </si>
  <si>
    <t>ft²</t>
  </si>
  <si>
    <t>mile²</t>
  </si>
  <si>
    <t>acre</t>
  </si>
  <si>
    <t>cm³</t>
  </si>
  <si>
    <t>m³</t>
  </si>
  <si>
    <t>km³</t>
  </si>
  <si>
    <t>in³</t>
  </si>
  <si>
    <t>ft³</t>
  </si>
  <si>
    <t>gal</t>
  </si>
  <si>
    <t>bbl</t>
  </si>
  <si>
    <t>cm³/sec</t>
  </si>
  <si>
    <t>m³/sec</t>
  </si>
  <si>
    <t>in³/sec</t>
  </si>
  <si>
    <t>ft³/sec</t>
  </si>
  <si>
    <t>ft³/day</t>
  </si>
  <si>
    <t>gal/day</t>
  </si>
  <si>
    <t>bbl/day</t>
  </si>
  <si>
    <t>lbm/in³</t>
  </si>
  <si>
    <t>lbm/ft³</t>
  </si>
  <si>
    <t>lbm/gal</t>
  </si>
  <si>
    <t>lbm/bbl</t>
  </si>
  <si>
    <t>gm/cm³</t>
  </si>
  <si>
    <t>gm/m³</t>
  </si>
  <si>
    <t>kg/m³</t>
  </si>
  <si>
    <t>atm</t>
  </si>
  <si>
    <t>lbf/in²</t>
  </si>
  <si>
    <t>Pa</t>
  </si>
  <si>
    <t>kPa</t>
  </si>
  <si>
    <t>in Hg</t>
  </si>
  <si>
    <t>in water</t>
  </si>
  <si>
    <t>cp</t>
  </si>
  <si>
    <t>poise</t>
  </si>
  <si>
    <t>Pa-sec</t>
  </si>
  <si>
    <t>lbm/ft-sec</t>
  </si>
  <si>
    <t>lbf-sec/ft²</t>
  </si>
  <si>
    <t>gm-cm²/sec²</t>
  </si>
  <si>
    <t>lbm-ft²/sec²</t>
  </si>
  <si>
    <t>ft-lbf</t>
  </si>
  <si>
    <t>BTU</t>
  </si>
  <si>
    <t>Hp-hrs</t>
  </si>
  <si>
    <t>KW-hrs</t>
  </si>
  <si>
    <t>KW</t>
  </si>
  <si>
    <t>Hp</t>
  </si>
  <si>
    <t>BTU/min</t>
  </si>
  <si>
    <t>ft-lbf/min</t>
  </si>
  <si>
    <t xml:space="preserve">KW </t>
  </si>
  <si>
    <t xml:space="preserve">Hp </t>
  </si>
  <si>
    <t>darcy</t>
  </si>
  <si>
    <t>md</t>
  </si>
  <si>
    <t>micrometre²</t>
  </si>
  <si>
    <t>Input Quantity</t>
  </si>
  <si>
    <t>Input Units</t>
  </si>
  <si>
    <t>OUTPUT 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</si>
</sst>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2" width="11.28125" style="21" customWidth="1"/>
    <col min="3" max="8" width="12.8515625" style="21" customWidth="1"/>
    <col min="9" max="16384" width="9.140625" style="21" customWidth="1"/>
  </cols>
  <sheetData>
    <row r="1" spans="1:9" ht="12.75">
      <c r="A1" s="17" t="s">
        <v>76</v>
      </c>
      <c r="B1" s="18" t="s">
        <v>75</v>
      </c>
      <c r="C1" s="19" t="s">
        <v>77</v>
      </c>
      <c r="D1" s="19"/>
      <c r="E1" s="19"/>
      <c r="F1" s="19"/>
      <c r="G1" s="19"/>
      <c r="H1" s="19"/>
      <c r="I1" s="20"/>
    </row>
    <row r="2" spans="1:8" ht="12.75">
      <c r="A2" s="17"/>
      <c r="B2" s="18"/>
      <c r="C2" s="22" t="s">
        <v>0</v>
      </c>
      <c r="D2" s="22" t="s">
        <v>1</v>
      </c>
      <c r="E2" s="22" t="s">
        <v>2</v>
      </c>
      <c r="F2" s="22" t="s">
        <v>3</v>
      </c>
      <c r="G2" s="22" t="s">
        <v>4</v>
      </c>
      <c r="H2" s="22" t="s">
        <v>5</v>
      </c>
    </row>
    <row r="3" spans="1:8" ht="12.75">
      <c r="A3" s="22" t="s">
        <v>0</v>
      </c>
      <c r="B3" s="23"/>
      <c r="C3" s="25">
        <f>1*B3</f>
        <v>0</v>
      </c>
      <c r="D3" s="25">
        <f>0.001*B3</f>
        <v>0</v>
      </c>
      <c r="E3" s="26">
        <f>0.0352739*B3</f>
        <v>0</v>
      </c>
      <c r="F3" s="25">
        <f>0.00220462*B3</f>
        <v>0</v>
      </c>
      <c r="G3" s="25">
        <f>0.00000110231*B3</f>
        <v>0</v>
      </c>
      <c r="H3" s="25">
        <f>0.000001*B3</f>
        <v>0</v>
      </c>
    </row>
    <row r="4" spans="1:8" ht="12.75">
      <c r="A4" s="22" t="s">
        <v>1</v>
      </c>
      <c r="B4" s="23"/>
      <c r="C4" s="25">
        <f>1000*B4</f>
        <v>0</v>
      </c>
      <c r="D4" s="25">
        <f>1*B4</f>
        <v>0</v>
      </c>
      <c r="E4" s="25">
        <f>35.274*B4</f>
        <v>0</v>
      </c>
      <c r="F4" s="25">
        <f>2.20462*B4</f>
        <v>0</v>
      </c>
      <c r="G4" s="25">
        <f>0.00110231*B4</f>
        <v>0</v>
      </c>
      <c r="H4" s="25">
        <f>0.001*B4</f>
        <v>0</v>
      </c>
    </row>
    <row r="5" spans="1:8" ht="12.75">
      <c r="A5" s="22" t="s">
        <v>2</v>
      </c>
      <c r="B5" s="23"/>
      <c r="C5" s="25">
        <f>28.3495*B5</f>
        <v>0</v>
      </c>
      <c r="D5" s="25">
        <f>0.0283495*B5</f>
        <v>0</v>
      </c>
      <c r="E5" s="25">
        <f>1*B5</f>
        <v>0</v>
      </c>
      <c r="F5" s="25">
        <f>0.0625*B5</f>
        <v>0</v>
      </c>
      <c r="G5" s="25">
        <f>0.00003125*B5</f>
        <v>0</v>
      </c>
      <c r="H5" s="25">
        <f>0.0000283495*B5</f>
        <v>0</v>
      </c>
    </row>
    <row r="6" spans="1:8" ht="12.75">
      <c r="A6" s="22" t="s">
        <v>3</v>
      </c>
      <c r="B6" s="23"/>
      <c r="C6" s="25">
        <f>453.592*B6</f>
        <v>0</v>
      </c>
      <c r="D6" s="25">
        <f>0.453592*B6</f>
        <v>0</v>
      </c>
      <c r="E6" s="25">
        <f>16*B6</f>
        <v>0</v>
      </c>
      <c r="F6" s="25">
        <f>1*B6</f>
        <v>0</v>
      </c>
      <c r="G6" s="25">
        <f>0.0005*B6</f>
        <v>0</v>
      </c>
      <c r="H6" s="25">
        <f>0.000453592*B6</f>
        <v>0</v>
      </c>
    </row>
    <row r="7" spans="1:8" ht="12.75">
      <c r="A7" s="22" t="s">
        <v>4</v>
      </c>
      <c r="B7" s="23"/>
      <c r="C7" s="25">
        <f>907185*B7</f>
        <v>0</v>
      </c>
      <c r="D7" s="25">
        <f>907.185*B7</f>
        <v>0</v>
      </c>
      <c r="E7" s="25">
        <f>32000*B7</f>
        <v>0</v>
      </c>
      <c r="F7" s="25">
        <f>2000*B7</f>
        <v>0</v>
      </c>
      <c r="G7" s="25">
        <f>1*B7</f>
        <v>0</v>
      </c>
      <c r="H7" s="25">
        <f>0.907185*B7</f>
        <v>0</v>
      </c>
    </row>
    <row r="8" spans="1:8" ht="12.75">
      <c r="A8" s="22" t="s">
        <v>5</v>
      </c>
      <c r="B8" s="23"/>
      <c r="C8" s="25">
        <f>1000000*B8</f>
        <v>0</v>
      </c>
      <c r="D8" s="25">
        <f>1000*B8</f>
        <v>0</v>
      </c>
      <c r="E8" s="25">
        <f>35274*B8</f>
        <v>0</v>
      </c>
      <c r="F8" s="25">
        <f>2204.62*B8</f>
        <v>0</v>
      </c>
      <c r="G8" s="25">
        <f>1.10231*B8</f>
        <v>0</v>
      </c>
      <c r="H8" s="25">
        <f>1*B8</f>
        <v>0</v>
      </c>
    </row>
    <row r="9" ht="12.75">
      <c r="B9" s="24"/>
    </row>
    <row r="10" ht="12.75"/>
    <row r="11" ht="12.75"/>
    <row r="13" ht="12.75">
      <c r="A13" s="21" t="s">
        <v>6</v>
      </c>
    </row>
  </sheetData>
  <sheetProtection sheet="1"/>
  <mergeCells count="3">
    <mergeCell ref="A1:A2"/>
    <mergeCell ref="B1:B2"/>
    <mergeCell ref="C1:H1"/>
  </mergeCells>
  <printOptions/>
  <pageMargins left="0.75" right="0.75" top="1" bottom="1" header="0.5" footer="0.5"/>
  <pageSetup orientation="portrait" r:id="rId3"/>
  <legacyDrawing r:id="rId2"/>
  <oleObjects>
    <oleObject progId="Equation.DSMT4" shapeId="16471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1.8515625" style="0" bestFit="1" customWidth="1"/>
    <col min="2" max="2" width="11.28125" style="0" customWidth="1"/>
    <col min="3" max="9" width="12.8515625" style="0" customWidth="1"/>
  </cols>
  <sheetData>
    <row r="1" spans="1:9" ht="12.75">
      <c r="A1" s="13" t="s">
        <v>76</v>
      </c>
      <c r="B1" s="14" t="s">
        <v>75</v>
      </c>
      <c r="C1" s="15" t="s">
        <v>77</v>
      </c>
      <c r="D1" s="15"/>
      <c r="E1" s="15"/>
      <c r="F1" s="15"/>
      <c r="G1" s="15"/>
      <c r="H1" s="15"/>
      <c r="I1" s="6"/>
    </row>
    <row r="2" spans="1:9" ht="12.75" customHeight="1">
      <c r="A2" s="13"/>
      <c r="B2" s="14"/>
      <c r="C2" s="4" t="s">
        <v>60</v>
      </c>
      <c r="D2" s="4" t="s">
        <v>61</v>
      </c>
      <c r="E2" s="4" t="s">
        <v>62</v>
      </c>
      <c r="F2" s="4" t="s">
        <v>63</v>
      </c>
      <c r="G2" s="4" t="s">
        <v>64</v>
      </c>
      <c r="H2" s="4" t="s">
        <v>65</v>
      </c>
      <c r="I2" s="7"/>
    </row>
    <row r="3" spans="1:9" ht="12.75">
      <c r="A3" s="4" t="s">
        <v>60</v>
      </c>
      <c r="B3" s="23"/>
      <c r="C3" s="1">
        <f>1*B3</f>
        <v>0</v>
      </c>
      <c r="D3" s="1">
        <f>0.000002373*B3</f>
        <v>0</v>
      </c>
      <c r="E3" s="1">
        <f>0.000000073756*B3</f>
        <v>0</v>
      </c>
      <c r="F3" s="1">
        <f>0.000000000094783*B3</f>
        <v>0</v>
      </c>
      <c r="G3" s="1">
        <f>0.000000000000037251*B3</f>
        <v>0</v>
      </c>
      <c r="H3" s="1">
        <f>0.000000000000027778*B3</f>
        <v>0</v>
      </c>
      <c r="I3" s="11"/>
    </row>
    <row r="4" spans="1:9" ht="12.75">
      <c r="A4" s="4" t="s">
        <v>61</v>
      </c>
      <c r="B4" s="23"/>
      <c r="C4" s="3">
        <f>421400*B4</f>
        <v>0</v>
      </c>
      <c r="D4" s="1">
        <f>1*B4</f>
        <v>0</v>
      </c>
      <c r="E4" s="1">
        <f>0.031081*B4</f>
        <v>0</v>
      </c>
      <c r="F4" s="1">
        <f>0.000039942*B4</f>
        <v>0</v>
      </c>
      <c r="G4" s="1">
        <f>0.000000015698*B4</f>
        <v>0</v>
      </c>
      <c r="H4" s="1">
        <f>0.000000011706*B4</f>
        <v>0</v>
      </c>
      <c r="I4" s="11"/>
    </row>
    <row r="5" spans="1:9" ht="12.75">
      <c r="A5" s="4" t="s">
        <v>62</v>
      </c>
      <c r="B5" s="23"/>
      <c r="C5" s="1">
        <f>13558000*B5</f>
        <v>0</v>
      </c>
      <c r="D5" s="1">
        <f>32.174*B5</f>
        <v>0</v>
      </c>
      <c r="E5" s="1">
        <f>1*B5</f>
        <v>0</v>
      </c>
      <c r="F5" s="1">
        <f>0.0012851*B5</f>
        <v>0</v>
      </c>
      <c r="G5" s="1">
        <f>0.00000050505*B5</f>
        <v>0</v>
      </c>
      <c r="H5" s="1">
        <f>0.00000037662*B5</f>
        <v>0</v>
      </c>
      <c r="I5" s="11"/>
    </row>
    <row r="6" spans="1:9" ht="12.75">
      <c r="A6" s="4" t="s">
        <v>63</v>
      </c>
      <c r="B6" s="23"/>
      <c r="C6" s="1">
        <f>10550000000*B6</f>
        <v>0</v>
      </c>
      <c r="D6" s="1">
        <f>25036*B6</f>
        <v>0</v>
      </c>
      <c r="E6" s="1">
        <f>778.16*B6</f>
        <v>0</v>
      </c>
      <c r="F6" s="1">
        <f>1*B6</f>
        <v>0</v>
      </c>
      <c r="G6" s="1">
        <f>0.00039301*B6</f>
        <v>0</v>
      </c>
      <c r="H6" s="1">
        <f>0.00029307*B6</f>
        <v>0</v>
      </c>
      <c r="I6" s="11"/>
    </row>
    <row r="7" spans="1:9" ht="12.75">
      <c r="A7" s="4" t="s">
        <v>64</v>
      </c>
      <c r="B7" s="23"/>
      <c r="C7" s="1">
        <f>26845000000000*B7</f>
        <v>0</v>
      </c>
      <c r="D7" s="1">
        <f>63705000*B7</f>
        <v>0</v>
      </c>
      <c r="E7" s="1">
        <f>1980000*B7</f>
        <v>0</v>
      </c>
      <c r="F7" s="1">
        <f>2544.5*B7</f>
        <v>0</v>
      </c>
      <c r="G7" s="1">
        <f>1*B7</f>
        <v>0</v>
      </c>
      <c r="H7" s="1">
        <f>0.7457*B7</f>
        <v>0</v>
      </c>
      <c r="I7" s="11"/>
    </row>
    <row r="8" spans="1:9" ht="12.75">
      <c r="A8" s="4" t="s">
        <v>65</v>
      </c>
      <c r="B8" s="23"/>
      <c r="C8" s="1">
        <f>36000000000000*B8</f>
        <v>0</v>
      </c>
      <c r="D8" s="1">
        <f>85429000*B8</f>
        <v>0</v>
      </c>
      <c r="E8" s="1">
        <f>2655200*B8</f>
        <v>0</v>
      </c>
      <c r="F8" s="1">
        <f>3412.2*B8</f>
        <v>0</v>
      </c>
      <c r="G8" s="1">
        <f>1.341*B8</f>
        <v>0</v>
      </c>
      <c r="H8" s="1">
        <f>1*B8</f>
        <v>0</v>
      </c>
      <c r="I8" s="11"/>
    </row>
    <row r="9" spans="1:9" ht="12.75">
      <c r="A9" s="12"/>
      <c r="B9" s="10"/>
      <c r="C9" s="11"/>
      <c r="D9" s="11"/>
      <c r="E9" s="11"/>
      <c r="F9" s="11"/>
      <c r="G9" s="11"/>
      <c r="H9" s="11"/>
      <c r="I9" s="11"/>
    </row>
    <row r="10" ht="12.75">
      <c r="E10" s="9"/>
    </row>
  </sheetData>
  <sheetProtection sheet="1"/>
  <mergeCells count="3">
    <mergeCell ref="A1:A2"/>
    <mergeCell ref="B1:B2"/>
    <mergeCell ref="C1:H1"/>
  </mergeCells>
  <printOptions/>
  <pageMargins left="0.75" right="0.75" top="1" bottom="1" header="0.5" footer="0.5"/>
  <pageSetup orientation="portrait" r:id="rId3"/>
  <legacyDrawing r:id="rId2"/>
  <oleObjects>
    <oleObject progId="Equation.DSMT4" shapeId="17470654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2" width="11.28125" style="0" customWidth="1"/>
    <col min="3" max="9" width="12.8515625" style="0" customWidth="1"/>
  </cols>
  <sheetData>
    <row r="1" spans="1:9" ht="12.75">
      <c r="A1" s="13" t="s">
        <v>76</v>
      </c>
      <c r="B1" s="14" t="s">
        <v>75</v>
      </c>
      <c r="C1" s="16" t="s">
        <v>77</v>
      </c>
      <c r="D1" s="16"/>
      <c r="E1" s="16"/>
      <c r="F1" s="16"/>
      <c r="G1" s="6"/>
      <c r="H1" s="6"/>
      <c r="I1" s="6"/>
    </row>
    <row r="2" spans="1:9" ht="12.75" customHeight="1">
      <c r="A2" s="13"/>
      <c r="B2" s="14"/>
      <c r="C2" s="4" t="s">
        <v>66</v>
      </c>
      <c r="D2" s="4" t="s">
        <v>67</v>
      </c>
      <c r="E2" s="4" t="s">
        <v>68</v>
      </c>
      <c r="F2" s="4" t="s">
        <v>69</v>
      </c>
      <c r="G2" s="10"/>
      <c r="H2" s="10"/>
      <c r="I2" s="7"/>
    </row>
    <row r="3" spans="1:9" ht="12.75">
      <c r="A3" s="4" t="s">
        <v>70</v>
      </c>
      <c r="B3" s="23"/>
      <c r="C3" s="1">
        <f>1*B3</f>
        <v>0</v>
      </c>
      <c r="D3" s="1">
        <f>1.34102*B3</f>
        <v>0</v>
      </c>
      <c r="E3" s="3">
        <f>56.92*B3</f>
        <v>0</v>
      </c>
      <c r="F3" s="1">
        <f>44253.33*B3</f>
        <v>0</v>
      </c>
      <c r="G3" s="11"/>
      <c r="H3" s="11"/>
      <c r="I3" s="11"/>
    </row>
    <row r="4" spans="1:9" ht="12.75">
      <c r="A4" s="4" t="s">
        <v>71</v>
      </c>
      <c r="B4" s="23"/>
      <c r="C4" s="1">
        <f>0.7457*B4</f>
        <v>0</v>
      </c>
      <c r="D4" s="1">
        <f>1*B4</f>
        <v>0</v>
      </c>
      <c r="E4" s="1">
        <f>42.418*B4</f>
        <v>0</v>
      </c>
      <c r="F4" s="1">
        <f>33000*B4</f>
        <v>0</v>
      </c>
      <c r="G4" s="11"/>
      <c r="H4" s="11"/>
      <c r="I4" s="11"/>
    </row>
    <row r="5" spans="1:9" ht="12.75">
      <c r="A5" s="4" t="s">
        <v>68</v>
      </c>
      <c r="B5" s="23"/>
      <c r="C5" s="3">
        <f>0.01758*B5</f>
        <v>0</v>
      </c>
      <c r="D5" s="1">
        <f>0.02357*B5</f>
        <v>0</v>
      </c>
      <c r="E5" s="1">
        <f>1*B5</f>
        <v>0</v>
      </c>
      <c r="F5" s="1">
        <f>778.16*B5</f>
        <v>0</v>
      </c>
      <c r="G5" s="11"/>
      <c r="H5" s="11"/>
      <c r="I5" s="11"/>
    </row>
    <row r="6" spans="1:9" ht="12.75">
      <c r="A6" s="4" t="s">
        <v>69</v>
      </c>
      <c r="B6" s="23"/>
      <c r="C6" s="1">
        <f>0.000022597*B6</f>
        <v>0</v>
      </c>
      <c r="D6" s="1">
        <f>0.000030303*B6</f>
        <v>0</v>
      </c>
      <c r="E6" s="1">
        <f>0.0012851*B6</f>
        <v>0</v>
      </c>
      <c r="F6" s="1">
        <f>1*B6</f>
        <v>0</v>
      </c>
      <c r="G6" s="11"/>
      <c r="H6" s="11"/>
      <c r="I6" s="11"/>
    </row>
    <row r="7" spans="1:9" ht="12.75">
      <c r="A7" s="10"/>
      <c r="B7" s="10"/>
      <c r="C7" s="11"/>
      <c r="D7" s="11"/>
      <c r="E7" s="11"/>
      <c r="F7" s="11"/>
      <c r="G7" s="11"/>
      <c r="H7" s="11"/>
      <c r="I7" s="11"/>
    </row>
    <row r="8" spans="1:9" ht="12.75">
      <c r="A8" s="10"/>
      <c r="B8" s="10"/>
      <c r="C8" s="11"/>
      <c r="D8" s="11"/>
      <c r="E8" s="11"/>
      <c r="F8" s="11"/>
      <c r="G8" s="11"/>
      <c r="H8" s="11"/>
      <c r="I8" s="11"/>
    </row>
    <row r="9" spans="1:9" ht="12.75">
      <c r="A9" s="10"/>
      <c r="B9" s="10"/>
      <c r="C9" s="11"/>
      <c r="D9" s="11"/>
      <c r="E9" s="11"/>
      <c r="F9" s="11"/>
      <c r="G9" s="11"/>
      <c r="H9" s="11"/>
      <c r="I9" s="11"/>
    </row>
    <row r="10" ht="12.75">
      <c r="E10" s="9"/>
    </row>
  </sheetData>
  <sheetProtection sheet="1"/>
  <mergeCells count="3">
    <mergeCell ref="A1:A2"/>
    <mergeCell ref="B1:B2"/>
    <mergeCell ref="C1:F1"/>
  </mergeCells>
  <printOptions/>
  <pageMargins left="0.75" right="0.75" top="1" bottom="1" header="0.5" footer="0.5"/>
  <pageSetup orientation="portrait" r:id="rId4"/>
  <legacyDrawing r:id="rId3"/>
  <oleObjects>
    <oleObject progId="Equation.DSMT4" shapeId="17515134" r:id="rId1"/>
    <oleObject progId="Equation.DSMT4" shapeId="17515135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2.00390625" style="0" bestFit="1" customWidth="1"/>
    <col min="2" max="2" width="11.28125" style="0" customWidth="1"/>
    <col min="3" max="5" width="12.8515625" style="0" customWidth="1"/>
    <col min="6" max="6" width="13.140625" style="0" customWidth="1"/>
    <col min="7" max="9" width="12.8515625" style="0" customWidth="1"/>
  </cols>
  <sheetData>
    <row r="1" spans="1:9" ht="12.75">
      <c r="A1" s="13" t="s">
        <v>76</v>
      </c>
      <c r="B1" s="14" t="s">
        <v>75</v>
      </c>
      <c r="C1" s="16" t="s">
        <v>77</v>
      </c>
      <c r="D1" s="16"/>
      <c r="E1" s="16"/>
      <c r="F1" s="16"/>
      <c r="G1" s="6"/>
      <c r="H1" s="6"/>
      <c r="I1" s="6"/>
    </row>
    <row r="2" spans="1:9" ht="12.75" customHeight="1">
      <c r="A2" s="13"/>
      <c r="B2" s="14"/>
      <c r="C2" s="4" t="s">
        <v>72</v>
      </c>
      <c r="D2" s="4" t="s">
        <v>73</v>
      </c>
      <c r="E2" s="4" t="s">
        <v>22</v>
      </c>
      <c r="F2" s="4" t="s">
        <v>74</v>
      </c>
      <c r="G2" s="10"/>
      <c r="H2" s="10"/>
      <c r="I2" s="7"/>
    </row>
    <row r="3" spans="1:9" ht="12.75">
      <c r="A3" s="4" t="s">
        <v>72</v>
      </c>
      <c r="B3" s="23"/>
      <c r="C3" s="1">
        <f>1*B3</f>
        <v>0</v>
      </c>
      <c r="D3" s="1">
        <f>1000*B3</f>
        <v>0</v>
      </c>
      <c r="E3" s="1">
        <f>0.0000000000009869*B3</f>
        <v>0</v>
      </c>
      <c r="F3" s="1">
        <f>0.9869*B3</f>
        <v>0</v>
      </c>
      <c r="G3" s="11"/>
      <c r="H3" s="11"/>
      <c r="I3" s="11"/>
    </row>
    <row r="4" spans="1:9" ht="12.75">
      <c r="A4" s="4" t="s">
        <v>73</v>
      </c>
      <c r="B4" s="23"/>
      <c r="C4" s="1">
        <f>0.001*B4</f>
        <v>0</v>
      </c>
      <c r="D4" s="1">
        <f>1*B4</f>
        <v>0</v>
      </c>
      <c r="E4" s="1">
        <f>0.0000000000000009869*B4</f>
        <v>0</v>
      </c>
      <c r="F4" s="1">
        <f>0.0009869*B4</f>
        <v>0</v>
      </c>
      <c r="G4" s="11"/>
      <c r="H4" s="11"/>
      <c r="I4" s="11"/>
    </row>
    <row r="5" spans="1:9" ht="12.75">
      <c r="A5" s="4" t="s">
        <v>22</v>
      </c>
      <c r="B5" s="23"/>
      <c r="C5" s="1">
        <f>1013300000000*B5</f>
        <v>0</v>
      </c>
      <c r="D5" s="1">
        <f>1013300000000000*B5</f>
        <v>0</v>
      </c>
      <c r="E5" s="1">
        <f>1*B5</f>
        <v>0</v>
      </c>
      <c r="F5" s="1">
        <f>1000000000000*B5</f>
        <v>0</v>
      </c>
      <c r="G5" s="11"/>
      <c r="H5" s="11"/>
      <c r="I5" s="11"/>
    </row>
    <row r="6" spans="1:9" ht="12.75">
      <c r="A6" s="4" t="s">
        <v>74</v>
      </c>
      <c r="B6" s="23"/>
      <c r="C6" s="1">
        <f>1.0133*B6</f>
        <v>0</v>
      </c>
      <c r="D6" s="1">
        <f>1013.3*B6</f>
        <v>0</v>
      </c>
      <c r="E6" s="1">
        <f>0.000000000001*B6</f>
        <v>0</v>
      </c>
      <c r="F6" s="1">
        <f>1*B6</f>
        <v>0</v>
      </c>
      <c r="G6" s="11"/>
      <c r="H6" s="11"/>
      <c r="I6" s="11"/>
    </row>
    <row r="7" spans="1:9" ht="12.75">
      <c r="A7" s="10"/>
      <c r="B7" s="10"/>
      <c r="C7" s="11"/>
      <c r="D7" s="11"/>
      <c r="E7" s="11"/>
      <c r="F7" s="11"/>
      <c r="G7" s="11"/>
      <c r="H7" s="11"/>
      <c r="I7" s="11"/>
    </row>
    <row r="8" spans="1:9" ht="12.75">
      <c r="A8" s="10"/>
      <c r="B8" s="10"/>
      <c r="C8" s="11"/>
      <c r="D8" s="11"/>
      <c r="E8" s="11"/>
      <c r="F8" s="11"/>
      <c r="G8" s="11"/>
      <c r="H8" s="11"/>
      <c r="I8" s="11"/>
    </row>
    <row r="9" spans="1:9" ht="12.75">
      <c r="A9" s="10"/>
      <c r="B9" s="10"/>
      <c r="C9" s="11"/>
      <c r="D9" s="11"/>
      <c r="E9" s="11"/>
      <c r="F9" s="11"/>
      <c r="G9" s="11"/>
      <c r="H9" s="11"/>
      <c r="I9" s="11"/>
    </row>
    <row r="10" ht="12.75">
      <c r="E10" s="9"/>
    </row>
  </sheetData>
  <sheetProtection sheet="1"/>
  <mergeCells count="3">
    <mergeCell ref="A1:A2"/>
    <mergeCell ref="B1:B2"/>
    <mergeCell ref="C1:F1"/>
  </mergeCells>
  <printOptions/>
  <pageMargins left="0.75" right="0.75" top="1" bottom="1" header="0.5" footer="0.5"/>
  <pageSetup orientation="portrait" r:id="rId4"/>
  <legacyDrawing r:id="rId3"/>
  <oleObjects>
    <oleObject progId="Equation.DSMT4" shapeId="17651660" r:id="rId1"/>
    <oleObject progId="Equation.DSMT4" shapeId="17651661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5" sqref="J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0.57421875" style="0" bestFit="1" customWidth="1"/>
    <col min="2" max="2" width="12.00390625" style="0" customWidth="1"/>
    <col min="3" max="9" width="12.8515625" style="0" customWidth="1"/>
  </cols>
  <sheetData>
    <row r="1" spans="1:9" ht="12.75">
      <c r="A1" s="13" t="s">
        <v>76</v>
      </c>
      <c r="B1" s="14" t="s">
        <v>75</v>
      </c>
      <c r="C1" s="15" t="s">
        <v>77</v>
      </c>
      <c r="D1" s="15"/>
      <c r="E1" s="15"/>
      <c r="F1" s="15"/>
      <c r="G1" s="15"/>
      <c r="H1" s="15"/>
      <c r="I1" s="15"/>
    </row>
    <row r="2" spans="1:9" ht="12.75">
      <c r="A2" s="13"/>
      <c r="B2" s="14"/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13</v>
      </c>
      <c r="I2" s="5" t="s">
        <v>12</v>
      </c>
    </row>
    <row r="3" spans="1:9" ht="12.75">
      <c r="A3" s="4" t="s">
        <v>7</v>
      </c>
      <c r="B3" s="23"/>
      <c r="C3" s="25">
        <f>1*B3</f>
        <v>0</v>
      </c>
      <c r="D3" s="25">
        <f>0.01*B3</f>
        <v>0</v>
      </c>
      <c r="E3" s="25">
        <f>0.00001*B3</f>
        <v>0</v>
      </c>
      <c r="F3" s="25">
        <f>0.393701*B3</f>
        <v>0</v>
      </c>
      <c r="G3" s="25">
        <f>0.0328084*B3</f>
        <v>0</v>
      </c>
      <c r="H3" s="25">
        <f>0.0109361*B3</f>
        <v>0</v>
      </c>
      <c r="I3" s="25">
        <f>0.00000621371*B3</f>
        <v>0</v>
      </c>
    </row>
    <row r="4" spans="1:9" ht="12.75">
      <c r="A4" s="4" t="s">
        <v>8</v>
      </c>
      <c r="B4" s="23"/>
      <c r="C4" s="25">
        <f>100*B4</f>
        <v>0</v>
      </c>
      <c r="D4" s="25">
        <f>1*B4</f>
        <v>0</v>
      </c>
      <c r="E4" s="25">
        <f>0.001*B4</f>
        <v>0</v>
      </c>
      <c r="F4" s="25">
        <f>39.3701*B4</f>
        <v>0</v>
      </c>
      <c r="G4" s="25">
        <f>3.28084*B4</f>
        <v>0</v>
      </c>
      <c r="H4" s="25">
        <f>1.09361*B4</f>
        <v>0</v>
      </c>
      <c r="I4" s="25">
        <f>0.000621371*B4</f>
        <v>0</v>
      </c>
    </row>
    <row r="5" spans="1:9" ht="12.75">
      <c r="A5" s="4" t="s">
        <v>9</v>
      </c>
      <c r="B5" s="23"/>
      <c r="C5" s="25">
        <f>100000*B5</f>
        <v>0</v>
      </c>
      <c r="D5" s="25">
        <f>1000*B5</f>
        <v>0</v>
      </c>
      <c r="E5" s="25">
        <f>1*B5</f>
        <v>0</v>
      </c>
      <c r="F5" s="25">
        <f>39370.1*B5</f>
        <v>0</v>
      </c>
      <c r="G5" s="25">
        <f>3280.84*B5</f>
        <v>0</v>
      </c>
      <c r="H5" s="25">
        <f>1093.61*B5</f>
        <v>0</v>
      </c>
      <c r="I5" s="25">
        <f>0.621371*B5</f>
        <v>0</v>
      </c>
    </row>
    <row r="6" spans="1:9" ht="12.75">
      <c r="A6" s="4" t="s">
        <v>10</v>
      </c>
      <c r="B6" s="23"/>
      <c r="C6" s="25">
        <f>2.54*B6</f>
        <v>0</v>
      </c>
      <c r="D6" s="25">
        <f>0.0254*B6</f>
        <v>0</v>
      </c>
      <c r="E6" s="25">
        <f>0.0000254*B6</f>
        <v>0</v>
      </c>
      <c r="F6" s="25">
        <f>1*B6</f>
        <v>0</v>
      </c>
      <c r="G6" s="25">
        <f>0.0833333*B6</f>
        <v>0</v>
      </c>
      <c r="H6" s="25">
        <f>0.0277778*B6</f>
        <v>0</v>
      </c>
      <c r="I6" s="25">
        <f>0.0000157828*B6</f>
        <v>0</v>
      </c>
    </row>
    <row r="7" spans="1:9" ht="12.75">
      <c r="A7" s="4" t="s">
        <v>11</v>
      </c>
      <c r="B7" s="23"/>
      <c r="C7" s="25">
        <f>30.48*B7</f>
        <v>0</v>
      </c>
      <c r="D7" s="25">
        <f>0.3048*B7</f>
        <v>0</v>
      </c>
      <c r="E7" s="25">
        <f>0.0003048*B7</f>
        <v>0</v>
      </c>
      <c r="F7" s="25">
        <f>12*B7</f>
        <v>0</v>
      </c>
      <c r="G7" s="25">
        <f>1*B7</f>
        <v>0</v>
      </c>
      <c r="H7" s="25">
        <f>0.333333*B7</f>
        <v>0</v>
      </c>
      <c r="I7" s="25">
        <f>0.000189394*B7</f>
        <v>0</v>
      </c>
    </row>
    <row r="8" spans="1:9" ht="12.75">
      <c r="A8" s="4" t="s">
        <v>13</v>
      </c>
      <c r="B8" s="23"/>
      <c r="C8" s="25">
        <f>91.44*B8</f>
        <v>0</v>
      </c>
      <c r="D8" s="25">
        <f>0.9144*B8</f>
        <v>0</v>
      </c>
      <c r="E8" s="25">
        <f>0.0009144*B8</f>
        <v>0</v>
      </c>
      <c r="F8" s="25">
        <f>36*B8</f>
        <v>0</v>
      </c>
      <c r="G8" s="25">
        <f>3*B8</f>
        <v>0</v>
      </c>
      <c r="H8" s="25">
        <f>1*B8</f>
        <v>0</v>
      </c>
      <c r="I8" s="25">
        <f>0.000568182*B8</f>
        <v>0</v>
      </c>
    </row>
    <row r="9" spans="1:9" ht="12.75">
      <c r="A9" s="4" t="s">
        <v>12</v>
      </c>
      <c r="B9" s="23"/>
      <c r="C9" s="25">
        <f>160934*B9</f>
        <v>0</v>
      </c>
      <c r="D9" s="25">
        <f>1609.34*B9</f>
        <v>0</v>
      </c>
      <c r="E9" s="25">
        <f>1.60934*B9</f>
        <v>0</v>
      </c>
      <c r="F9" s="25">
        <f>63360*B9</f>
        <v>0</v>
      </c>
      <c r="G9" s="25">
        <f>5280*B9</f>
        <v>0</v>
      </c>
      <c r="H9" s="25">
        <f>1760*B9</f>
        <v>0</v>
      </c>
      <c r="I9" s="25">
        <f>1*B9</f>
        <v>0</v>
      </c>
    </row>
    <row r="10" ht="12.75">
      <c r="E10" s="2"/>
    </row>
  </sheetData>
  <sheetProtection sheet="1"/>
  <mergeCells count="3">
    <mergeCell ref="A1:A2"/>
    <mergeCell ref="B1:B2"/>
    <mergeCell ref="C1:I1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Equation.DSMT4" shapeId="1650629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29" sqref="D28:D29"/>
    </sheetView>
  </sheetViews>
  <sheetFormatPr defaultColWidth="9.140625" defaultRowHeight="12.75"/>
  <cols>
    <col min="1" max="2" width="11.28125" style="0" customWidth="1"/>
    <col min="3" max="9" width="12.8515625" style="0" customWidth="1"/>
  </cols>
  <sheetData>
    <row r="1" spans="1:9" ht="12.75">
      <c r="A1" s="13" t="s">
        <v>76</v>
      </c>
      <c r="B1" s="14" t="s">
        <v>75</v>
      </c>
      <c r="C1" s="13" t="s">
        <v>77</v>
      </c>
      <c r="D1" s="13"/>
      <c r="E1" s="13"/>
      <c r="F1" s="13"/>
      <c r="G1" s="13"/>
      <c r="H1" s="13"/>
      <c r="I1" s="13"/>
    </row>
    <row r="2" spans="1:9" ht="12.75">
      <c r="A2" s="13"/>
      <c r="B2" s="14"/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5" t="s">
        <v>20</v>
      </c>
    </row>
    <row r="3" spans="1:9" ht="12.75">
      <c r="A3" s="4" t="s">
        <v>14</v>
      </c>
      <c r="B3" s="23"/>
      <c r="C3" s="1">
        <f>1*B3</f>
        <v>0</v>
      </c>
      <c r="D3" s="1">
        <f>0.0166667*B3</f>
        <v>0</v>
      </c>
      <c r="E3" s="1">
        <f>0.000277778*B3</f>
        <v>0</v>
      </c>
      <c r="F3" s="1">
        <f>0.0000115741*B3</f>
        <v>0</v>
      </c>
      <c r="G3" s="1">
        <f>0.00000165344*B3</f>
        <v>0</v>
      </c>
      <c r="H3" s="1">
        <f>0.000000380257*B3</f>
        <v>0</v>
      </c>
      <c r="I3" s="1">
        <f>0.0000000316881*B3</f>
        <v>0</v>
      </c>
    </row>
    <row r="4" spans="1:9" ht="12.75">
      <c r="A4" s="4" t="s">
        <v>15</v>
      </c>
      <c r="B4" s="23"/>
      <c r="C4" s="1">
        <f>60*B4</f>
        <v>0</v>
      </c>
      <c r="D4" s="1">
        <f>1*B4</f>
        <v>0</v>
      </c>
      <c r="E4" s="1">
        <f>0.0166667*B4</f>
        <v>0</v>
      </c>
      <c r="F4" s="1">
        <f>0.000694444*B4</f>
        <v>0</v>
      </c>
      <c r="G4" s="1">
        <f>0.0000992063*B4</f>
        <v>0</v>
      </c>
      <c r="H4" s="1">
        <f>0.00002*B4</f>
        <v>0</v>
      </c>
      <c r="I4" s="1">
        <f>0.00000190129*B4</f>
        <v>0</v>
      </c>
    </row>
    <row r="5" spans="1:9" ht="12.75">
      <c r="A5" s="4" t="s">
        <v>16</v>
      </c>
      <c r="B5" s="23"/>
      <c r="C5" s="1">
        <f>3600*B5</f>
        <v>0</v>
      </c>
      <c r="D5" s="1">
        <f>60*B5</f>
        <v>0</v>
      </c>
      <c r="E5" s="1">
        <f>1*B5</f>
        <v>0</v>
      </c>
      <c r="F5" s="1">
        <f>0.0416667*B5</f>
        <v>0</v>
      </c>
      <c r="G5" s="1">
        <f>0.00595238*B5</f>
        <v>0</v>
      </c>
      <c r="H5" s="1">
        <f>0.00137*B5</f>
        <v>0</v>
      </c>
      <c r="I5" s="1">
        <f>0.000114077*B5</f>
        <v>0</v>
      </c>
    </row>
    <row r="6" spans="1:9" ht="12.75">
      <c r="A6" s="4" t="s">
        <v>17</v>
      </c>
      <c r="B6" s="23"/>
      <c r="C6" s="1">
        <f>86400*B6</f>
        <v>0</v>
      </c>
      <c r="D6" s="1">
        <f>1440*B6</f>
        <v>0</v>
      </c>
      <c r="E6" s="1">
        <f>24*B6</f>
        <v>0</v>
      </c>
      <c r="F6" s="1">
        <f>1*B6</f>
        <v>0</v>
      </c>
      <c r="G6" s="1">
        <f>0.142857*B6</f>
        <v>0</v>
      </c>
      <c r="H6" s="1">
        <f>0.03285*B6</f>
        <v>0</v>
      </c>
      <c r="I6" s="1">
        <f>0.00273785*B6</f>
        <v>0</v>
      </c>
    </row>
    <row r="7" spans="1:9" ht="12.75">
      <c r="A7" s="4" t="s">
        <v>18</v>
      </c>
      <c r="B7" s="23"/>
      <c r="C7" s="1">
        <f>604800*B7</f>
        <v>0</v>
      </c>
      <c r="D7" s="1">
        <f>10080*B7</f>
        <v>0</v>
      </c>
      <c r="E7" s="1">
        <f>168*B7</f>
        <v>0</v>
      </c>
      <c r="F7" s="1">
        <f>7*B7</f>
        <v>0</v>
      </c>
      <c r="G7" s="1">
        <f>1*B7</f>
        <v>0</v>
      </c>
      <c r="H7" s="1">
        <f>0.22998*B7</f>
        <v>0</v>
      </c>
      <c r="I7" s="1">
        <f>0.019165*B7</f>
        <v>0</v>
      </c>
    </row>
    <row r="8" spans="1:9" ht="12.75">
      <c r="A8" s="4" t="s">
        <v>19</v>
      </c>
      <c r="B8" s="23"/>
      <c r="C8" s="1">
        <f>2629800*B8</f>
        <v>0</v>
      </c>
      <c r="D8" s="1">
        <f>43830*B8</f>
        <v>0</v>
      </c>
      <c r="E8" s="1">
        <f>730.5*B8</f>
        <v>0</v>
      </c>
      <c r="F8" s="1">
        <f>30.4375*B8</f>
        <v>0</v>
      </c>
      <c r="G8" s="1">
        <f>4.34821*B8</f>
        <v>0</v>
      </c>
      <c r="H8" s="1">
        <f>1*B8</f>
        <v>0</v>
      </c>
      <c r="I8" s="1">
        <f>0.08333333*B8</f>
        <v>0</v>
      </c>
    </row>
    <row r="9" spans="1:9" ht="12.75">
      <c r="A9" s="4" t="s">
        <v>20</v>
      </c>
      <c r="B9" s="23"/>
      <c r="C9" s="1">
        <f>31557600*B9</f>
        <v>0</v>
      </c>
      <c r="D9" s="1">
        <f>525960*B9</f>
        <v>0</v>
      </c>
      <c r="E9" s="1">
        <f>8766*B9</f>
        <v>0</v>
      </c>
      <c r="F9" s="1">
        <f>365.25*B9</f>
        <v>0</v>
      </c>
      <c r="G9" s="1">
        <f>52.1786*B9</f>
        <v>0</v>
      </c>
      <c r="H9" s="1">
        <f>12*B9</f>
        <v>0</v>
      </c>
      <c r="I9" s="1">
        <f>1*B9</f>
        <v>0</v>
      </c>
    </row>
    <row r="10" spans="1:5" ht="12.75">
      <c r="A10" s="6"/>
      <c r="B10" s="7"/>
      <c r="E10" s="2"/>
    </row>
  </sheetData>
  <sheetProtection sheet="1"/>
  <mergeCells count="3">
    <mergeCell ref="A1:A2"/>
    <mergeCell ref="B1:B2"/>
    <mergeCell ref="C1:I1"/>
  </mergeCells>
  <printOptions/>
  <pageMargins left="0.75" right="0.75" top="1" bottom="1" header="0.5" footer="0.5"/>
  <pageSetup orientation="portrait" r:id="rId3"/>
  <legacyDrawing r:id="rId2"/>
  <oleObjects>
    <oleObject progId="Equation.DSMT4" shapeId="165421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2" width="11.28125" style="0" customWidth="1"/>
    <col min="3" max="9" width="12.8515625" style="0" customWidth="1"/>
  </cols>
  <sheetData>
    <row r="1" spans="1:9" ht="12.75">
      <c r="A1" s="13" t="s">
        <v>76</v>
      </c>
      <c r="B1" s="14" t="s">
        <v>75</v>
      </c>
      <c r="C1" s="13" t="s">
        <v>77</v>
      </c>
      <c r="D1" s="13"/>
      <c r="E1" s="13"/>
      <c r="F1" s="13"/>
      <c r="G1" s="13"/>
      <c r="H1" s="13"/>
      <c r="I1" s="13"/>
    </row>
    <row r="2" spans="1:9" ht="12.75">
      <c r="A2" s="13"/>
      <c r="B2" s="14"/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5" t="s">
        <v>27</v>
      </c>
    </row>
    <row r="3" spans="1:9" ht="12.75">
      <c r="A3" s="4" t="s">
        <v>21</v>
      </c>
      <c r="B3" s="23"/>
      <c r="C3" s="1">
        <f>1*B3</f>
        <v>0</v>
      </c>
      <c r="D3" s="1">
        <f>0.0001*B3</f>
        <v>0</v>
      </c>
      <c r="E3" s="1">
        <f>0.0000000001*B3</f>
        <v>0</v>
      </c>
      <c r="F3" s="1">
        <f>0.155*B3</f>
        <v>0</v>
      </c>
      <c r="G3" s="1">
        <f>0.00107639*B3</f>
        <v>0</v>
      </c>
      <c r="H3" s="1">
        <f>0.0000000000386102*B3</f>
        <v>0</v>
      </c>
      <c r="I3" s="1">
        <f>0.0000000247105*B3</f>
        <v>0</v>
      </c>
    </row>
    <row r="4" spans="1:9" ht="12.75">
      <c r="A4" s="4" t="s">
        <v>22</v>
      </c>
      <c r="B4" s="23"/>
      <c r="C4" s="1">
        <f>10000*B4</f>
        <v>0</v>
      </c>
      <c r="D4" s="1">
        <f>1*B4</f>
        <v>0</v>
      </c>
      <c r="E4" s="1">
        <f>0.000001*B4</f>
        <v>0</v>
      </c>
      <c r="F4" s="1">
        <f>1550*B4</f>
        <v>0</v>
      </c>
      <c r="G4" s="1">
        <f>10.7639*B4</f>
        <v>0</v>
      </c>
      <c r="H4" s="1">
        <f>0.000000386102*B4</f>
        <v>0</v>
      </c>
      <c r="I4" s="1">
        <f>0.000247105*B4</f>
        <v>0</v>
      </c>
    </row>
    <row r="5" spans="1:9" ht="12.75">
      <c r="A5" s="4" t="s">
        <v>23</v>
      </c>
      <c r="B5" s="23"/>
      <c r="C5" s="1">
        <f>10000000000*B5</f>
        <v>0</v>
      </c>
      <c r="D5" s="1">
        <f>1000000*B5</f>
        <v>0</v>
      </c>
      <c r="E5" s="1">
        <f>1*B5</f>
        <v>0</v>
      </c>
      <c r="F5" s="1">
        <f>1550000000*B5</f>
        <v>0</v>
      </c>
      <c r="G5" s="1">
        <f>10763900*B5</f>
        <v>0</v>
      </c>
      <c r="H5" s="1">
        <f>0.386102*B5</f>
        <v>0</v>
      </c>
      <c r="I5" s="1">
        <f>247.105*B5</f>
        <v>0</v>
      </c>
    </row>
    <row r="6" spans="1:9" ht="12.75">
      <c r="A6" s="4" t="s">
        <v>24</v>
      </c>
      <c r="B6" s="23"/>
      <c r="C6" s="1">
        <f>6.4516*B6</f>
        <v>0</v>
      </c>
      <c r="D6" s="1">
        <f>0.00064516*B6</f>
        <v>0</v>
      </c>
      <c r="E6" s="1">
        <f>0.00000000064516*B6</f>
        <v>0</v>
      </c>
      <c r="F6" s="1">
        <f>1*B6</f>
        <v>0</v>
      </c>
      <c r="G6" s="1">
        <f>0.00694444*B6</f>
        <v>0</v>
      </c>
      <c r="H6" s="1">
        <f>0.000000000249098*B6</f>
        <v>0</v>
      </c>
      <c r="I6" s="1">
        <f>0.000000159423*B6</f>
        <v>0</v>
      </c>
    </row>
    <row r="7" spans="1:9" ht="12.75">
      <c r="A7" s="4" t="s">
        <v>25</v>
      </c>
      <c r="B7" s="23"/>
      <c r="C7" s="1">
        <f>929.03*B7</f>
        <v>0</v>
      </c>
      <c r="D7" s="1">
        <f>0.092903*B7</f>
        <v>0</v>
      </c>
      <c r="E7" s="1">
        <f>0.000000092903*B7</f>
        <v>0</v>
      </c>
      <c r="F7" s="1">
        <f>144*B7</f>
        <v>0</v>
      </c>
      <c r="G7" s="1">
        <f>1*B7</f>
        <v>0</v>
      </c>
      <c r="H7" s="1">
        <f>0.0000000358701*B7</f>
        <v>0</v>
      </c>
      <c r="I7" s="1">
        <f>0.0000229568*B7</f>
        <v>0</v>
      </c>
    </row>
    <row r="8" spans="1:9" ht="12.75">
      <c r="A8" s="4" t="s">
        <v>26</v>
      </c>
      <c r="B8" s="23"/>
      <c r="C8" s="1">
        <f>25899900000*B8</f>
        <v>0</v>
      </c>
      <c r="D8" s="1">
        <f>2589990*B8</f>
        <v>0</v>
      </c>
      <c r="E8" s="1">
        <f>2.58999*B8</f>
        <v>0</v>
      </c>
      <c r="F8" s="1">
        <f>4014490000*B8</f>
        <v>0</v>
      </c>
      <c r="G8" s="1">
        <f>27878400*B8</f>
        <v>0</v>
      </c>
      <c r="H8" s="1">
        <f>1*B8</f>
        <v>0</v>
      </c>
      <c r="I8" s="1">
        <f>640*B8</f>
        <v>0</v>
      </c>
    </row>
    <row r="9" spans="1:9" ht="12.75">
      <c r="A9" s="4" t="s">
        <v>27</v>
      </c>
      <c r="B9" s="23"/>
      <c r="C9" s="1">
        <f>40468600*B9</f>
        <v>0</v>
      </c>
      <c r="D9" s="1">
        <f>4046.86*B9</f>
        <v>0</v>
      </c>
      <c r="E9" s="1">
        <f>0.00404686*B9</f>
        <v>0</v>
      </c>
      <c r="F9" s="1">
        <f>6272640*B9</f>
        <v>0</v>
      </c>
      <c r="G9" s="1">
        <f>43560*B9</f>
        <v>0</v>
      </c>
      <c r="H9" s="1">
        <f>0.0015625*B9</f>
        <v>0</v>
      </c>
      <c r="I9" s="1">
        <f>1*B9</f>
        <v>0</v>
      </c>
    </row>
    <row r="10" ht="12.75">
      <c r="E10" s="2"/>
    </row>
  </sheetData>
  <sheetProtection sheet="1"/>
  <mergeCells count="3">
    <mergeCell ref="A1:A2"/>
    <mergeCell ref="B1:B2"/>
    <mergeCell ref="C1:I1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Equation.DSMT4" shapeId="1663266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2" width="11.28125" style="0" customWidth="1"/>
    <col min="3" max="9" width="12.8515625" style="0" customWidth="1"/>
  </cols>
  <sheetData>
    <row r="1" spans="1:9" ht="12.75">
      <c r="A1" s="13" t="s">
        <v>76</v>
      </c>
      <c r="B1" s="14" t="s">
        <v>75</v>
      </c>
      <c r="C1" s="13" t="s">
        <v>77</v>
      </c>
      <c r="D1" s="13"/>
      <c r="E1" s="13"/>
      <c r="F1" s="13"/>
      <c r="G1" s="13"/>
      <c r="H1" s="13"/>
      <c r="I1" s="13"/>
    </row>
    <row r="2" spans="1:9" ht="12.75" customHeight="1">
      <c r="A2" s="13"/>
      <c r="B2" s="14"/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5" t="s">
        <v>34</v>
      </c>
    </row>
    <row r="3" spans="1:9" ht="12.75">
      <c r="A3" s="4" t="s">
        <v>28</v>
      </c>
      <c r="B3" s="23"/>
      <c r="C3" s="1">
        <f>1*B3</f>
        <v>0</v>
      </c>
      <c r="D3" s="1">
        <f>0.000001*B3</f>
        <v>0</v>
      </c>
      <c r="E3" s="1">
        <f>0.000000000000001*B3</f>
        <v>0</v>
      </c>
      <c r="F3" s="1">
        <f>0.0610237*B3</f>
        <v>0</v>
      </c>
      <c r="G3" s="1">
        <f>0.0000353147*B3</f>
        <v>0</v>
      </c>
      <c r="H3" s="1">
        <f>0.000264172*B3</f>
        <v>0</v>
      </c>
      <c r="I3" s="1">
        <f>0.00000628981*B3</f>
        <v>0</v>
      </c>
    </row>
    <row r="4" spans="1:9" ht="12.75">
      <c r="A4" s="4" t="s">
        <v>29</v>
      </c>
      <c r="B4" s="23"/>
      <c r="C4" s="1">
        <f>1000000*B4</f>
        <v>0</v>
      </c>
      <c r="D4" s="1">
        <f>1*B4</f>
        <v>0</v>
      </c>
      <c r="E4" s="1">
        <f>0.000000001*B4</f>
        <v>0</v>
      </c>
      <c r="F4" s="1">
        <f>61023.7*B4</f>
        <v>0</v>
      </c>
      <c r="G4" s="1">
        <f>35.3147*B4</f>
        <v>0</v>
      </c>
      <c r="H4" s="1">
        <f>264.172*B4</f>
        <v>0</v>
      </c>
      <c r="I4" s="1">
        <f>6.28981*B4</f>
        <v>0</v>
      </c>
    </row>
    <row r="5" spans="1:9" ht="12.75">
      <c r="A5" s="4" t="s">
        <v>30</v>
      </c>
      <c r="B5" s="23"/>
      <c r="C5" s="1">
        <f>1000000000000000*B5</f>
        <v>0</v>
      </c>
      <c r="D5" s="1">
        <f>1000000000*B5</f>
        <v>0</v>
      </c>
      <c r="E5" s="1">
        <f>1*B5</f>
        <v>0</v>
      </c>
      <c r="F5" s="1">
        <f>61023700000000*B5</f>
        <v>0</v>
      </c>
      <c r="G5" s="1">
        <f>35314700000*B5</f>
        <v>0</v>
      </c>
      <c r="H5" s="1">
        <f>264172000000*B5</f>
        <v>0</v>
      </c>
      <c r="I5" s="1">
        <f>6289810000*B5</f>
        <v>0</v>
      </c>
    </row>
    <row r="6" spans="1:9" ht="12.75">
      <c r="A6" s="4" t="s">
        <v>31</v>
      </c>
      <c r="B6" s="23"/>
      <c r="C6" s="1">
        <f>16.3871*B6</f>
        <v>0</v>
      </c>
      <c r="D6" s="1">
        <f>0.0000163871*B6</f>
        <v>0</v>
      </c>
      <c r="E6" s="1">
        <f>0.0000000000000163871*B6</f>
        <v>0</v>
      </c>
      <c r="F6" s="1">
        <f>1*B6</f>
        <v>0</v>
      </c>
      <c r="G6" s="1">
        <f>0.000578704*B6</f>
        <v>0</v>
      </c>
      <c r="H6" s="1">
        <f>0.004329*B6</f>
        <v>0</v>
      </c>
      <c r="I6" s="1">
        <f>0.000103072*B6</f>
        <v>0</v>
      </c>
    </row>
    <row r="7" spans="1:9" ht="12.75">
      <c r="A7" s="4" t="s">
        <v>32</v>
      </c>
      <c r="B7" s="23"/>
      <c r="C7" s="1">
        <f>28316.8*B7</f>
        <v>0</v>
      </c>
      <c r="D7" s="1">
        <f>0.0283168*B7</f>
        <v>0</v>
      </c>
      <c r="E7" s="1">
        <f>0.0000000000283168*B7</f>
        <v>0</v>
      </c>
      <c r="F7" s="1">
        <f>1728*B7</f>
        <v>0</v>
      </c>
      <c r="G7" s="1">
        <f>1*B7</f>
        <v>0</v>
      </c>
      <c r="H7" s="1">
        <f>7.48052*B7</f>
        <v>0</v>
      </c>
      <c r="I7" s="1">
        <f>0.178108*B7</f>
        <v>0</v>
      </c>
    </row>
    <row r="8" spans="1:9" ht="12.75">
      <c r="A8" s="4" t="s">
        <v>33</v>
      </c>
      <c r="B8" s="23"/>
      <c r="C8" s="1">
        <f>3785.41*B8</f>
        <v>0</v>
      </c>
      <c r="D8" s="1">
        <f>0.00378541*B8</f>
        <v>0</v>
      </c>
      <c r="E8" s="1">
        <f>0.00000000000378541*B8</f>
        <v>0</v>
      </c>
      <c r="F8" s="1">
        <f>231*B8</f>
        <v>0</v>
      </c>
      <c r="G8" s="1">
        <f>0.133681*B8</f>
        <v>0</v>
      </c>
      <c r="H8" s="1">
        <f>1*B8</f>
        <v>0</v>
      </c>
      <c r="I8" s="1">
        <f>0.0238095*B8</f>
        <v>0</v>
      </c>
    </row>
    <row r="9" spans="1:9" ht="12.75">
      <c r="A9" s="4" t="s">
        <v>34</v>
      </c>
      <c r="B9" s="23"/>
      <c r="C9" s="1">
        <f>158987*B9</f>
        <v>0</v>
      </c>
      <c r="D9" s="1">
        <f>0.158987*B9</f>
        <v>0</v>
      </c>
      <c r="E9" s="1">
        <f>0.000000000158987*B9</f>
        <v>0</v>
      </c>
      <c r="F9" s="1">
        <f>9702*B9</f>
        <v>0</v>
      </c>
      <c r="G9" s="1">
        <f>5.61458*B9</f>
        <v>0</v>
      </c>
      <c r="H9" s="1">
        <f>42*B9</f>
        <v>0</v>
      </c>
      <c r="I9" s="1">
        <f>1*B9</f>
        <v>0</v>
      </c>
    </row>
    <row r="10" ht="12.75">
      <c r="E10" s="2"/>
    </row>
    <row r="18" spans="6:7" ht="12.75">
      <c r="F18" s="8"/>
      <c r="G18" s="8"/>
    </row>
    <row r="19" spans="6:7" ht="12.75">
      <c r="F19" s="8"/>
      <c r="G19" s="8"/>
    </row>
  </sheetData>
  <sheetProtection sheet="1"/>
  <mergeCells count="3">
    <mergeCell ref="A1:A2"/>
    <mergeCell ref="B1:B2"/>
    <mergeCell ref="C1:I1"/>
  </mergeCells>
  <printOptions/>
  <pageMargins left="0.75" right="0.75" top="1" bottom="1" header="0.5" footer="0.5"/>
  <pageSetup orientation="portrait" r:id="rId3"/>
  <legacyDrawing r:id="rId2"/>
  <oleObjects>
    <oleObject progId="Equation.DSMT4" shapeId="1668804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2" width="11.28125" style="0" customWidth="1"/>
    <col min="3" max="9" width="12.8515625" style="0" customWidth="1"/>
  </cols>
  <sheetData>
    <row r="1" spans="1:9" ht="12.75">
      <c r="A1" s="13" t="s">
        <v>76</v>
      </c>
      <c r="B1" s="14" t="s">
        <v>75</v>
      </c>
      <c r="C1" s="13" t="s">
        <v>77</v>
      </c>
      <c r="D1" s="13"/>
      <c r="E1" s="13"/>
      <c r="F1" s="13"/>
      <c r="G1" s="13"/>
      <c r="H1" s="13"/>
      <c r="I1" s="13"/>
    </row>
    <row r="2" spans="1:9" ht="12.75" customHeight="1">
      <c r="A2" s="13"/>
      <c r="B2" s="14"/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5" t="s">
        <v>41</v>
      </c>
    </row>
    <row r="3" spans="1:9" ht="12.75">
      <c r="A3" s="4" t="s">
        <v>35</v>
      </c>
      <c r="B3" s="23"/>
      <c r="C3" s="1">
        <f>1*B3</f>
        <v>0</v>
      </c>
      <c r="D3" s="1">
        <f>0.000001*B3</f>
        <v>0</v>
      </c>
      <c r="E3" s="1">
        <f>0.0610237*B3</f>
        <v>0</v>
      </c>
      <c r="F3" s="1">
        <f>0.0000353147*B3</f>
        <v>0</v>
      </c>
      <c r="G3" s="1">
        <f>3.05119*B3</f>
        <v>0</v>
      </c>
      <c r="H3" s="1">
        <f>22.8245*B3</f>
        <v>0</v>
      </c>
      <c r="I3" s="1">
        <f>0.54344*B3</f>
        <v>0</v>
      </c>
    </row>
    <row r="4" spans="1:9" ht="12.75">
      <c r="A4" s="4" t="s">
        <v>36</v>
      </c>
      <c r="B4" s="23"/>
      <c r="C4" s="1">
        <f>1000000*B4</f>
        <v>0</v>
      </c>
      <c r="D4" s="1">
        <f>1*B4</f>
        <v>0</v>
      </c>
      <c r="E4" s="1">
        <f>61023.7*B4</f>
        <v>0</v>
      </c>
      <c r="F4" s="1">
        <f>35.3147*B4</f>
        <v>0</v>
      </c>
      <c r="G4" s="1">
        <f>3051190*B4</f>
        <v>0</v>
      </c>
      <c r="H4" s="1">
        <f>22824500*B4</f>
        <v>0</v>
      </c>
      <c r="I4" s="1">
        <f>543440*B4</f>
        <v>0</v>
      </c>
    </row>
    <row r="5" spans="1:9" ht="12.75">
      <c r="A5" s="4" t="s">
        <v>37</v>
      </c>
      <c r="B5" s="23"/>
      <c r="C5" s="1">
        <f>16.3871*B5</f>
        <v>0</v>
      </c>
      <c r="D5" s="1">
        <f>0.0000163871*B5</f>
        <v>0</v>
      </c>
      <c r="E5" s="1">
        <f>1*B5</f>
        <v>0</v>
      </c>
      <c r="F5" s="1">
        <f>0.000578704*B5</f>
        <v>0</v>
      </c>
      <c r="G5" s="1">
        <f>50*B5</f>
        <v>0</v>
      </c>
      <c r="H5" s="1">
        <f>374.026*B5</f>
        <v>0</v>
      </c>
      <c r="I5" s="1">
        <f>8.90538*B5</f>
        <v>0</v>
      </c>
    </row>
    <row r="6" spans="1:9" ht="12.75">
      <c r="A6" s="4" t="s">
        <v>38</v>
      </c>
      <c r="B6" s="23"/>
      <c r="C6" s="1">
        <f>28316.8*B6</f>
        <v>0</v>
      </c>
      <c r="D6" s="1">
        <f>0.0283168*B6</f>
        <v>0</v>
      </c>
      <c r="E6" s="1">
        <f>1728*B6</f>
        <v>0</v>
      </c>
      <c r="F6" s="1">
        <f>1*B6</f>
        <v>0</v>
      </c>
      <c r="G6" s="1">
        <f>86400*B6</f>
        <v>0</v>
      </c>
      <c r="H6" s="1">
        <f>646317*B6</f>
        <v>0</v>
      </c>
      <c r="I6" s="1">
        <f>15388.5*B6</f>
        <v>0</v>
      </c>
    </row>
    <row r="7" spans="1:9" ht="12.75">
      <c r="A7" s="4" t="s">
        <v>39</v>
      </c>
      <c r="B7" s="23"/>
      <c r="C7" s="1">
        <f>0.327741*B7</f>
        <v>0</v>
      </c>
      <c r="D7" s="1">
        <f>0.000000327741*B7</f>
        <v>0</v>
      </c>
      <c r="E7" s="1">
        <f>0.02*B7</f>
        <v>0</v>
      </c>
      <c r="F7" s="1">
        <f>0.0000115741*B7</f>
        <v>0</v>
      </c>
      <c r="G7" s="1">
        <f>1*B7</f>
        <v>0</v>
      </c>
      <c r="H7" s="1">
        <f>7.48052*B7</f>
        <v>0</v>
      </c>
      <c r="I7" s="1">
        <f>0.178108*B7</f>
        <v>0</v>
      </c>
    </row>
    <row r="8" spans="1:9" ht="12.75">
      <c r="A8" s="4" t="s">
        <v>40</v>
      </c>
      <c r="B8" s="23"/>
      <c r="C8" s="1">
        <f>0.0438126*B8</f>
        <v>0</v>
      </c>
      <c r="D8" s="1">
        <f>0.0000000438126*B8</f>
        <v>0</v>
      </c>
      <c r="E8" s="1">
        <f>0.00267361*B8</f>
        <v>0</v>
      </c>
      <c r="F8" s="1">
        <f>0.00000154723*B8</f>
        <v>0</v>
      </c>
      <c r="G8" s="1">
        <f>0.133681*B8</f>
        <v>0</v>
      </c>
      <c r="H8" s="1">
        <f>1*B8</f>
        <v>0</v>
      </c>
      <c r="I8" s="1">
        <f>0.0238095*B8</f>
        <v>0</v>
      </c>
    </row>
    <row r="9" spans="1:9" ht="12.75">
      <c r="A9" s="4" t="s">
        <v>41</v>
      </c>
      <c r="B9" s="23"/>
      <c r="C9" s="1">
        <f>1.84013*B9</f>
        <v>0</v>
      </c>
      <c r="D9" s="1">
        <f>0.00000184013*B9</f>
        <v>0</v>
      </c>
      <c r="E9" s="1">
        <f>0.112292*B9</f>
        <v>0</v>
      </c>
      <c r="F9" s="1">
        <f>0.0000649836*B9</f>
        <v>0</v>
      </c>
      <c r="G9" s="1">
        <f>5.61458*B9</f>
        <v>0</v>
      </c>
      <c r="H9" s="1">
        <f>42*B9</f>
        <v>0</v>
      </c>
      <c r="I9" s="1">
        <f>1*B9</f>
        <v>0</v>
      </c>
    </row>
    <row r="10" ht="12.75">
      <c r="E10" s="2"/>
    </row>
  </sheetData>
  <sheetProtection sheet="1"/>
  <mergeCells count="3">
    <mergeCell ref="A1:A2"/>
    <mergeCell ref="B1:B2"/>
    <mergeCell ref="C1:I1"/>
  </mergeCells>
  <printOptions/>
  <pageMargins left="0.75" right="0.75" top="1" bottom="1" header="0.5" footer="0.5"/>
  <pageSetup orientation="portrait" r:id="rId3"/>
  <legacyDrawing r:id="rId2"/>
  <oleObjects>
    <oleObject progId="Equation.DSMT4" shapeId="1729565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2" width="11.28125" style="0" customWidth="1"/>
    <col min="3" max="9" width="12.8515625" style="0" customWidth="1"/>
  </cols>
  <sheetData>
    <row r="1" spans="1:9" ht="12.75">
      <c r="A1" s="13" t="s">
        <v>76</v>
      </c>
      <c r="B1" s="14" t="s">
        <v>75</v>
      </c>
      <c r="C1" s="13" t="s">
        <v>77</v>
      </c>
      <c r="D1" s="13"/>
      <c r="E1" s="13"/>
      <c r="F1" s="13"/>
      <c r="G1" s="13"/>
      <c r="H1" s="13"/>
      <c r="I1" s="13"/>
    </row>
    <row r="2" spans="1:9" ht="12.75" customHeight="1">
      <c r="A2" s="13"/>
      <c r="B2" s="14"/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5" t="s">
        <v>48</v>
      </c>
    </row>
    <row r="3" spans="1:9" ht="12.75">
      <c r="A3" s="4" t="s">
        <v>42</v>
      </c>
      <c r="B3" s="23"/>
      <c r="C3" s="1">
        <f>1*B3</f>
        <v>0</v>
      </c>
      <c r="D3" s="1">
        <f>1728*B3</f>
        <v>0</v>
      </c>
      <c r="E3" s="1">
        <f>231*B3</f>
        <v>0</v>
      </c>
      <c r="F3" s="1">
        <f>9702*B3</f>
        <v>0</v>
      </c>
      <c r="G3" s="1">
        <f>27.6799*B3</f>
        <v>0</v>
      </c>
      <c r="H3" s="1">
        <f>27679900*B3</f>
        <v>0</v>
      </c>
      <c r="I3" s="1">
        <f>27679.9*B3</f>
        <v>0</v>
      </c>
    </row>
    <row r="4" spans="1:9" ht="12.75">
      <c r="A4" s="4" t="s">
        <v>43</v>
      </c>
      <c r="B4" s="23"/>
      <c r="C4" s="1">
        <f>0.000578704*B4</f>
        <v>0</v>
      </c>
      <c r="D4" s="1">
        <f>1*B4</f>
        <v>0</v>
      </c>
      <c r="E4" s="1">
        <f>0.133681*B4</f>
        <v>0</v>
      </c>
      <c r="F4" s="1">
        <f>5.61458*B4</f>
        <v>0</v>
      </c>
      <c r="G4" s="1">
        <f>0.0160185*B4</f>
        <v>0</v>
      </c>
      <c r="H4" s="1">
        <f>16018.5*B4</f>
        <v>0</v>
      </c>
      <c r="I4" s="1">
        <f>16.0185*B4</f>
        <v>0</v>
      </c>
    </row>
    <row r="5" spans="1:9" ht="12.75">
      <c r="A5" s="4" t="s">
        <v>44</v>
      </c>
      <c r="B5" s="23"/>
      <c r="C5" s="1">
        <f>0.004329*B5</f>
        <v>0</v>
      </c>
      <c r="D5" s="1">
        <f>7.48052*B5</f>
        <v>0</v>
      </c>
      <c r="E5" s="1">
        <f>1*B5</f>
        <v>0</v>
      </c>
      <c r="F5" s="1">
        <f>42*B5</f>
        <v>0</v>
      </c>
      <c r="G5" s="1">
        <f>0.119826*B5</f>
        <v>0</v>
      </c>
      <c r="H5" s="1">
        <f>119826*B5</f>
        <v>0</v>
      </c>
      <c r="I5" s="1">
        <f>119.826*B5</f>
        <v>0</v>
      </c>
    </row>
    <row r="6" spans="1:9" ht="12.75">
      <c r="A6" s="4" t="s">
        <v>45</v>
      </c>
      <c r="B6" s="23"/>
      <c r="C6" s="1">
        <f>0.000103072*B6</f>
        <v>0</v>
      </c>
      <c r="D6" s="1">
        <f>0.178108*B6</f>
        <v>0</v>
      </c>
      <c r="E6" s="1">
        <f>0.0238095*B6</f>
        <v>0</v>
      </c>
      <c r="F6" s="1">
        <f>1*B6</f>
        <v>0</v>
      </c>
      <c r="G6" s="1">
        <f>0.00285301*B6</f>
        <v>0</v>
      </c>
      <c r="H6" s="1">
        <f>2853.01*B6</f>
        <v>0</v>
      </c>
      <c r="I6" s="1">
        <f>2.85301*B6</f>
        <v>0</v>
      </c>
    </row>
    <row r="7" spans="1:9" ht="12.75">
      <c r="A7" s="4" t="s">
        <v>46</v>
      </c>
      <c r="B7" s="23"/>
      <c r="C7" s="1">
        <f>0.0361273*B7</f>
        <v>0</v>
      </c>
      <c r="D7" s="1">
        <f>62.428*B7</f>
        <v>0</v>
      </c>
      <c r="E7" s="1">
        <f>8.34541*B7</f>
        <v>0</v>
      </c>
      <c r="F7" s="1">
        <f>350.507*B7</f>
        <v>0</v>
      </c>
      <c r="G7" s="1">
        <f>1*B7</f>
        <v>0</v>
      </c>
      <c r="H7" s="1">
        <f>1000000*B7</f>
        <v>0</v>
      </c>
      <c r="I7" s="1">
        <f>1000*B7</f>
        <v>0</v>
      </c>
    </row>
    <row r="8" spans="1:9" ht="12.75">
      <c r="A8" s="4" t="s">
        <v>47</v>
      </c>
      <c r="B8" s="23"/>
      <c r="C8" s="1">
        <f>0.0000000361273*B8</f>
        <v>0</v>
      </c>
      <c r="D8" s="1">
        <f>0.000062428*B8</f>
        <v>0</v>
      </c>
      <c r="E8" s="1">
        <f>0.00000834541*B8</f>
        <v>0</v>
      </c>
      <c r="F8" s="1">
        <f>0.000350507*B8</f>
        <v>0</v>
      </c>
      <c r="G8" s="1">
        <f>0.000001*B8</f>
        <v>0</v>
      </c>
      <c r="H8" s="1">
        <f>1*B8</f>
        <v>0</v>
      </c>
      <c r="I8" s="1">
        <f>0.001*B8</f>
        <v>0</v>
      </c>
    </row>
    <row r="9" spans="1:9" ht="12.75">
      <c r="A9" s="4" t="s">
        <v>48</v>
      </c>
      <c r="B9" s="23"/>
      <c r="C9" s="1">
        <f>0.0000361273*B9</f>
        <v>0</v>
      </c>
      <c r="D9" s="1">
        <f>0.062428*B9</f>
        <v>0</v>
      </c>
      <c r="E9" s="1">
        <f>0.00834541*B9</f>
        <v>0</v>
      </c>
      <c r="F9" s="1">
        <f>0.3505071*B9</f>
        <v>0</v>
      </c>
      <c r="G9" s="1">
        <f>0.001*B9</f>
        <v>0</v>
      </c>
      <c r="H9" s="1">
        <f>1000*B9</f>
        <v>0</v>
      </c>
      <c r="I9" s="1">
        <f>1*B9</f>
        <v>0</v>
      </c>
    </row>
    <row r="10" ht="12.75">
      <c r="E10" s="2"/>
    </row>
  </sheetData>
  <sheetProtection sheet="1"/>
  <mergeCells count="3">
    <mergeCell ref="A1:A2"/>
    <mergeCell ref="B1:B2"/>
    <mergeCell ref="C1:I1"/>
  </mergeCells>
  <printOptions/>
  <pageMargins left="0.75" right="0.75" top="1" bottom="1" header="0.5" footer="0.5"/>
  <pageSetup orientation="portrait" r:id="rId3"/>
  <legacyDrawing r:id="rId2"/>
  <oleObjects>
    <oleObject progId="Equation.DSMT4" shapeId="173391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2" width="11.28125" style="0" customWidth="1"/>
    <col min="3" max="9" width="12.8515625" style="0" customWidth="1"/>
  </cols>
  <sheetData>
    <row r="1" spans="1:9" ht="12.75">
      <c r="A1" s="13" t="s">
        <v>76</v>
      </c>
      <c r="B1" s="18" t="s">
        <v>75</v>
      </c>
      <c r="C1" s="15" t="s">
        <v>77</v>
      </c>
      <c r="D1" s="15"/>
      <c r="E1" s="15"/>
      <c r="F1" s="15"/>
      <c r="G1" s="15"/>
      <c r="H1" s="15"/>
      <c r="I1" s="8"/>
    </row>
    <row r="2" spans="1:9" ht="12.75" customHeight="1">
      <c r="A2" s="13"/>
      <c r="B2" s="18"/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7"/>
    </row>
    <row r="3" spans="1:9" ht="12.75">
      <c r="A3" s="4" t="s">
        <v>49</v>
      </c>
      <c r="B3" s="23"/>
      <c r="C3" s="1">
        <f>1*B3</f>
        <v>0</v>
      </c>
      <c r="D3" s="1">
        <f>14.696*B3</f>
        <v>0</v>
      </c>
      <c r="E3" s="1">
        <f>101325*B3</f>
        <v>0</v>
      </c>
      <c r="F3" s="1">
        <f>101.325*B3</f>
        <v>0</v>
      </c>
      <c r="G3" s="1">
        <f>29.9213*B3</f>
        <v>0</v>
      </c>
      <c r="H3" s="1">
        <f>406.816*B3</f>
        <v>0</v>
      </c>
      <c r="I3" s="11"/>
    </row>
    <row r="4" spans="1:9" ht="12.75">
      <c r="A4" s="4" t="s">
        <v>50</v>
      </c>
      <c r="B4" s="23"/>
      <c r="C4" s="1">
        <f>0.0680457*B4</f>
        <v>0</v>
      </c>
      <c r="D4" s="1">
        <f>1*B4</f>
        <v>0</v>
      </c>
      <c r="E4" s="1">
        <f>6894.76*B4</f>
        <v>0</v>
      </c>
      <c r="F4" s="1">
        <f>6.89476*B4</f>
        <v>0</v>
      </c>
      <c r="G4" s="1">
        <f>2.03602*B4</f>
        <v>0</v>
      </c>
      <c r="H4" s="1">
        <f>27.6821*B4</f>
        <v>0</v>
      </c>
      <c r="I4" s="11"/>
    </row>
    <row r="5" spans="1:9" ht="12.75">
      <c r="A5" s="4" t="s">
        <v>51</v>
      </c>
      <c r="B5" s="23"/>
      <c r="C5" s="1">
        <f>0.0000098692*B5</f>
        <v>0</v>
      </c>
      <c r="D5" s="1">
        <f>0.000145038*B5</f>
        <v>0</v>
      </c>
      <c r="E5" s="1">
        <f>1*B5</f>
        <v>0</v>
      </c>
      <c r="F5" s="1">
        <f>0.001*B5</f>
        <v>0</v>
      </c>
      <c r="G5" s="1">
        <f>0.000295299*B5</f>
        <v>0</v>
      </c>
      <c r="H5" s="1">
        <f>0.00401495*B5</f>
        <v>0</v>
      </c>
      <c r="I5" s="11"/>
    </row>
    <row r="6" spans="1:9" ht="12.75">
      <c r="A6" s="4" t="s">
        <v>52</v>
      </c>
      <c r="B6" s="23"/>
      <c r="C6" s="1">
        <f>0.0098692*B6</f>
        <v>0</v>
      </c>
      <c r="D6" s="1">
        <f>0.145038*B6</f>
        <v>0</v>
      </c>
      <c r="E6" s="1">
        <f>1000*B6</f>
        <v>0</v>
      </c>
      <c r="F6" s="1">
        <f>1*B6</f>
        <v>0</v>
      </c>
      <c r="G6" s="1">
        <f>0.295299*B6</f>
        <v>0</v>
      </c>
      <c r="H6" s="1">
        <f>4.01495*B6</f>
        <v>0</v>
      </c>
      <c r="I6" s="11"/>
    </row>
    <row r="7" spans="1:9" ht="12.75">
      <c r="A7" s="4" t="s">
        <v>53</v>
      </c>
      <c r="B7" s="23"/>
      <c r="C7" s="1">
        <f>0.033421*B7</f>
        <v>0</v>
      </c>
      <c r="D7" s="1">
        <f>0.491155*B7</f>
        <v>0</v>
      </c>
      <c r="E7" s="1">
        <f>3386.4*B7</f>
        <v>0</v>
      </c>
      <c r="F7" s="1">
        <f>3.3864*B7</f>
        <v>0</v>
      </c>
      <c r="G7" s="1">
        <f>1*B7</f>
        <v>0</v>
      </c>
      <c r="H7" s="1">
        <f>13.5962*B7</f>
        <v>0</v>
      </c>
      <c r="I7" s="11"/>
    </row>
    <row r="8" spans="1:9" ht="12.75">
      <c r="A8" s="4" t="s">
        <v>54</v>
      </c>
      <c r="B8" s="23"/>
      <c r="C8" s="1">
        <f>0.00245811*B8</f>
        <v>0</v>
      </c>
      <c r="D8" s="1">
        <f>0.0361244*B8</f>
        <v>0</v>
      </c>
      <c r="E8" s="1">
        <f>249.069*B8</f>
        <v>0</v>
      </c>
      <c r="F8" s="1">
        <f>0.249069*B8</f>
        <v>0</v>
      </c>
      <c r="G8" s="1">
        <f>0.07355*B8</f>
        <v>0</v>
      </c>
      <c r="H8" s="1">
        <f>1*B8</f>
        <v>0</v>
      </c>
      <c r="I8" s="11"/>
    </row>
    <row r="9" spans="1:9" ht="12.75">
      <c r="A9" s="10"/>
      <c r="B9" s="10"/>
      <c r="C9" s="11"/>
      <c r="D9" s="11"/>
      <c r="E9" s="11"/>
      <c r="F9" s="11"/>
      <c r="G9" s="11"/>
      <c r="H9" s="11"/>
      <c r="I9" s="11"/>
    </row>
    <row r="10" ht="12.75">
      <c r="E10" s="9"/>
    </row>
  </sheetData>
  <sheetProtection sheet="1"/>
  <mergeCells count="3">
    <mergeCell ref="A1:A2"/>
    <mergeCell ref="B1:B2"/>
    <mergeCell ref="C1:H1"/>
  </mergeCells>
  <printOptions/>
  <pageMargins left="0.75" right="0.75" top="1" bottom="1" header="0.5" footer="0.5"/>
  <pageSetup orientation="portrait" r:id="rId3"/>
  <legacyDrawing r:id="rId2"/>
  <oleObjects>
    <oleObject progId="Equation.DSMT4" shapeId="1738902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2" width="11.28125" style="0" customWidth="1"/>
    <col min="3" max="9" width="12.8515625" style="0" customWidth="1"/>
  </cols>
  <sheetData>
    <row r="1" spans="1:7" ht="12.75">
      <c r="A1" s="13" t="s">
        <v>76</v>
      </c>
      <c r="B1" s="14" t="s">
        <v>75</v>
      </c>
      <c r="C1" s="15" t="s">
        <v>77</v>
      </c>
      <c r="D1" s="15"/>
      <c r="E1" s="15"/>
      <c r="F1" s="15"/>
      <c r="G1" s="15"/>
    </row>
    <row r="2" spans="1:9" ht="12.75" customHeight="1">
      <c r="A2" s="13"/>
      <c r="B2" s="14"/>
      <c r="C2" s="4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10"/>
      <c r="I2" s="7"/>
    </row>
    <row r="3" spans="1:9" ht="12.75">
      <c r="A3" s="4" t="s">
        <v>55</v>
      </c>
      <c r="B3" s="23"/>
      <c r="C3" s="1">
        <f>1*B3</f>
        <v>0</v>
      </c>
      <c r="D3" s="1">
        <f>0.01*B3</f>
        <v>0</v>
      </c>
      <c r="E3" s="1">
        <f>0.001*B3</f>
        <v>0</v>
      </c>
      <c r="F3" s="1">
        <f>0.000671969*B3</f>
        <v>0</v>
      </c>
      <c r="G3" s="1">
        <f>0.0000208854*B3</f>
        <v>0</v>
      </c>
      <c r="H3" s="11"/>
      <c r="I3" s="11"/>
    </row>
    <row r="4" spans="1:9" ht="12.75">
      <c r="A4" s="4" t="s">
        <v>56</v>
      </c>
      <c r="B4" s="23"/>
      <c r="C4" s="1">
        <f>100*B4</f>
        <v>0</v>
      </c>
      <c r="D4" s="1">
        <f>1*B4</f>
        <v>0</v>
      </c>
      <c r="E4" s="1">
        <f>0.1*B4</f>
        <v>0</v>
      </c>
      <c r="F4" s="1">
        <f>0.0671969*B4</f>
        <v>0</v>
      </c>
      <c r="G4" s="1">
        <f>0.00208854*B4</f>
        <v>0</v>
      </c>
      <c r="H4" s="11"/>
      <c r="I4" s="11"/>
    </row>
    <row r="5" spans="1:9" ht="12.75">
      <c r="A5" s="4" t="s">
        <v>57</v>
      </c>
      <c r="B5" s="23"/>
      <c r="C5" s="1">
        <f>1000*B5</f>
        <v>0</v>
      </c>
      <c r="D5" s="1">
        <f>10*B5</f>
        <v>0</v>
      </c>
      <c r="E5" s="1">
        <f>1*B5</f>
        <v>0</v>
      </c>
      <c r="F5" s="1">
        <f>0.671969*B5</f>
        <v>0</v>
      </c>
      <c r="G5" s="1">
        <f>0.0208854*B5</f>
        <v>0</v>
      </c>
      <c r="H5" s="11"/>
      <c r="I5" s="11"/>
    </row>
    <row r="6" spans="1:9" ht="12.75">
      <c r="A6" s="4" t="s">
        <v>58</v>
      </c>
      <c r="B6" s="23"/>
      <c r="C6" s="1">
        <f>1488.16*B6</f>
        <v>0</v>
      </c>
      <c r="D6" s="1">
        <f>14.8816*B6</f>
        <v>0</v>
      </c>
      <c r="E6" s="1">
        <f>1.48816*B6</f>
        <v>0</v>
      </c>
      <c r="F6" s="1">
        <f>1*B6</f>
        <v>0</v>
      </c>
      <c r="G6" s="1">
        <f>0.031081*B6</f>
        <v>0</v>
      </c>
      <c r="H6" s="11"/>
      <c r="I6" s="11"/>
    </row>
    <row r="7" spans="1:9" ht="12.75">
      <c r="A7" s="4" t="s">
        <v>59</v>
      </c>
      <c r="B7" s="23"/>
      <c r="C7" s="1">
        <f>47880.3*B7</f>
        <v>0</v>
      </c>
      <c r="D7" s="1">
        <f>478.803*B7</f>
        <v>0</v>
      </c>
      <c r="E7" s="1">
        <f>47.8803*B7</f>
        <v>0</v>
      </c>
      <c r="F7" s="1">
        <f>32.174*B7</f>
        <v>0</v>
      </c>
      <c r="G7" s="1">
        <f>1*B7</f>
        <v>0</v>
      </c>
      <c r="H7" s="11"/>
      <c r="I7" s="11"/>
    </row>
    <row r="8" spans="1:9" ht="12.75">
      <c r="A8" s="10"/>
      <c r="B8" s="10"/>
      <c r="C8" s="11"/>
      <c r="D8" s="11"/>
      <c r="E8" s="11"/>
      <c r="F8" s="11"/>
      <c r="G8" s="11"/>
      <c r="H8" s="11"/>
      <c r="I8" s="11"/>
    </row>
    <row r="9" spans="1:9" ht="12.75">
      <c r="A9" s="10"/>
      <c r="B9" s="10"/>
      <c r="C9" s="11"/>
      <c r="D9" s="11"/>
      <c r="E9" s="11"/>
      <c r="F9" s="11"/>
      <c r="G9" s="11"/>
      <c r="H9" s="11"/>
      <c r="I9" s="11"/>
    </row>
    <row r="10" ht="12.75">
      <c r="E10" s="9"/>
    </row>
  </sheetData>
  <sheetProtection sheet="1"/>
  <mergeCells count="3">
    <mergeCell ref="A1:A2"/>
    <mergeCell ref="B1:B2"/>
    <mergeCell ref="C1:G1"/>
  </mergeCells>
  <printOptions/>
  <pageMargins left="0.75" right="0.75" top="1" bottom="1" header="0.5" footer="0.5"/>
  <pageSetup orientation="portrait" r:id="rId3"/>
  <legacyDrawing r:id="rId2"/>
  <oleObjects>
    <oleObject progId="Equation.DSMT4" shapeId="174512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-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PBommer</dc:creator>
  <cp:keywords/>
  <dc:description/>
  <cp:lastModifiedBy>Bommer</cp:lastModifiedBy>
  <dcterms:created xsi:type="dcterms:W3CDTF">2010-06-21T12:34:41Z</dcterms:created>
  <dcterms:modified xsi:type="dcterms:W3CDTF">2010-12-28T17:41:48Z</dcterms:modified>
  <cp:category/>
  <cp:version/>
  <cp:contentType/>
  <cp:contentStatus/>
</cp:coreProperties>
</file>